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showHorizontalScroll="0" showVerticalScroll="0" showSheetTabs="0" xWindow="12165" yWindow="-30" windowWidth="16575" windowHeight="12375"/>
  </bookViews>
  <sheets>
    <sheet name="2023년" sheetId="1" r:id="rId1"/>
  </sheets>
  <definedNames>
    <definedName name="_xlnm.Print_Area" localSheetId="0">'2023년'!$A$1:$S$18</definedName>
  </definedNames>
  <calcPr calcId="145621"/>
</workbook>
</file>

<file path=xl/calcChain.xml><?xml version="1.0" encoding="utf-8"?>
<calcChain xmlns="http://schemas.openxmlformats.org/spreadsheetml/2006/main">
  <c r="S7" i="1" l="1"/>
  <c r="R7" i="1"/>
  <c r="P7" i="1"/>
  <c r="N7" i="1"/>
  <c r="L7" i="1"/>
  <c r="I7" i="1"/>
  <c r="H7" i="1"/>
  <c r="S10" i="1"/>
  <c r="R10" i="1"/>
  <c r="Q10" i="1"/>
  <c r="P10" i="1"/>
  <c r="N10" i="1"/>
  <c r="M10" i="1"/>
  <c r="K10" i="1"/>
  <c r="J10" i="1"/>
  <c r="H10" i="1"/>
  <c r="S16" i="1" l="1"/>
  <c r="R16" i="1"/>
  <c r="Q16" i="1"/>
  <c r="P16" i="1"/>
  <c r="O16" i="1"/>
  <c r="N16" i="1"/>
  <c r="M16" i="1"/>
  <c r="L16" i="1"/>
  <c r="K16" i="1"/>
  <c r="J16" i="1"/>
  <c r="I16" i="1"/>
  <c r="H16" i="1"/>
  <c r="S19" i="1"/>
  <c r="R19" i="1"/>
  <c r="Q19" i="1"/>
  <c r="P19" i="1"/>
  <c r="O19" i="1"/>
  <c r="N19" i="1"/>
  <c r="M19" i="1"/>
  <c r="L19" i="1"/>
  <c r="K19" i="1"/>
  <c r="J19" i="1"/>
  <c r="I19" i="1"/>
  <c r="H19" i="1"/>
  <c r="S13" i="1"/>
  <c r="R13" i="1"/>
  <c r="Q13" i="1"/>
  <c r="P13" i="1"/>
  <c r="O13" i="1"/>
  <c r="N13" i="1"/>
  <c r="M13" i="1"/>
  <c r="L13" i="1"/>
  <c r="K13" i="1"/>
  <c r="J13" i="1"/>
  <c r="I13" i="1"/>
  <c r="H13" i="1"/>
  <c r="S21" i="1"/>
  <c r="S20" i="1"/>
  <c r="S18" i="1"/>
  <c r="S17" i="1"/>
  <c r="S15" i="1"/>
  <c r="S14" i="1"/>
  <c r="S12" i="1"/>
  <c r="S11" i="1"/>
  <c r="S9" i="1"/>
  <c r="S8" i="1"/>
  <c r="R21" i="1" l="1"/>
  <c r="R20" i="1"/>
  <c r="R18" i="1"/>
  <c r="R17" i="1"/>
  <c r="R15" i="1"/>
  <c r="R14" i="1"/>
  <c r="R12" i="1"/>
  <c r="R11" i="1"/>
  <c r="R9" i="1"/>
  <c r="R8" i="1"/>
  <c r="Q21" i="1" l="1"/>
  <c r="Q20" i="1"/>
  <c r="Q18" i="1"/>
  <c r="Q17" i="1"/>
  <c r="Q15" i="1"/>
  <c r="Q14" i="1"/>
  <c r="Q12" i="1"/>
  <c r="Q11" i="1"/>
  <c r="P21" i="1" l="1"/>
  <c r="P20" i="1"/>
  <c r="P18" i="1"/>
  <c r="P17" i="1"/>
  <c r="P15" i="1"/>
  <c r="P14" i="1"/>
  <c r="P9" i="1"/>
  <c r="P8" i="1"/>
  <c r="P12" i="1" l="1"/>
  <c r="P11" i="1"/>
  <c r="O21" i="1" l="1"/>
  <c r="O20" i="1"/>
  <c r="O15" i="1"/>
  <c r="O14" i="1"/>
  <c r="O18" i="1" l="1"/>
  <c r="O17" i="1"/>
  <c r="N21" i="1" l="1"/>
  <c r="N20" i="1"/>
  <c r="N18" i="1"/>
  <c r="N17" i="1"/>
  <c r="N15" i="1"/>
  <c r="N14" i="1"/>
  <c r="N12" i="1"/>
  <c r="N11" i="1"/>
  <c r="N9" i="1"/>
  <c r="N8" i="1"/>
  <c r="M21" i="1" l="1"/>
  <c r="M20" i="1"/>
  <c r="M18" i="1"/>
  <c r="M17" i="1"/>
  <c r="M15" i="1"/>
  <c r="M14" i="1"/>
  <c r="M12" i="1"/>
  <c r="M11" i="1"/>
  <c r="L21" i="1" l="1"/>
  <c r="L20" i="1"/>
  <c r="L18" i="1"/>
  <c r="L17" i="1"/>
  <c r="L15" i="1"/>
  <c r="L14" i="1"/>
  <c r="L9" i="1"/>
  <c r="L8" i="1"/>
  <c r="K15" i="1" l="1"/>
  <c r="K14" i="1"/>
  <c r="K18" i="1"/>
  <c r="K17" i="1"/>
  <c r="K12" i="1"/>
  <c r="K11" i="1"/>
  <c r="K21" i="1" l="1"/>
  <c r="K20" i="1"/>
  <c r="J15" i="1" l="1"/>
  <c r="J14" i="1"/>
  <c r="J21" i="1"/>
  <c r="J20" i="1"/>
  <c r="J18" i="1" l="1"/>
  <c r="J17" i="1"/>
  <c r="J12" i="1"/>
  <c r="J11" i="1"/>
  <c r="I15" i="1" l="1"/>
  <c r="I14" i="1"/>
  <c r="I21" i="1"/>
  <c r="I20" i="1"/>
  <c r="I18" i="1"/>
  <c r="I17" i="1"/>
  <c r="I9" i="1"/>
  <c r="I8" i="1"/>
  <c r="H15" i="1" l="1"/>
  <c r="H14" i="1"/>
  <c r="H21" i="1"/>
  <c r="H20" i="1"/>
  <c r="H18" i="1"/>
  <c r="H17" i="1"/>
  <c r="H12" i="1"/>
  <c r="H11" i="1"/>
  <c r="H9" i="1"/>
  <c r="H8" i="1"/>
  <c r="G19" i="1" l="1"/>
  <c r="G20" i="1"/>
  <c r="G21" i="1"/>
  <c r="G7" i="1" l="1"/>
  <c r="G8" i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<sst xmlns="http://schemas.openxmlformats.org/spreadsheetml/2006/main" count="66" uniqueCount="43">
  <si>
    <t>2009. 2.10.</t>
  </si>
  <si>
    <t>주행거리(km)</t>
  </si>
  <si>
    <t>유류사용량(L)</t>
  </si>
  <si>
    <t>인사ㆍ총무ㆍ회계</t>
  </si>
  <si>
    <t>차종</t>
  </si>
  <si>
    <t>3월</t>
  </si>
  <si>
    <t>구분</t>
  </si>
  <si>
    <t>계</t>
  </si>
  <si>
    <t>5월</t>
  </si>
  <si>
    <t>1월</t>
  </si>
  <si>
    <t>6월</t>
  </si>
  <si>
    <t>-</t>
  </si>
  <si>
    <t>승차자</t>
  </si>
  <si>
    <t>12월</t>
  </si>
  <si>
    <t>11월</t>
  </si>
  <si>
    <t>7월</t>
  </si>
  <si>
    <t>회계</t>
  </si>
  <si>
    <t>현행화</t>
  </si>
  <si>
    <t>2월</t>
  </si>
  <si>
    <t>4월</t>
  </si>
  <si>
    <t>9월</t>
  </si>
  <si>
    <t>8월</t>
  </si>
  <si>
    <t>10월</t>
  </si>
  <si>
    <t>전용 차량 운영 현황</t>
  </si>
  <si>
    <t>포터2
(소형화물)</t>
  </si>
  <si>
    <t>2018. 6.21.</t>
  </si>
  <si>
    <t>주차사업팀
(업무용)</t>
  </si>
  <si>
    <t>포터II
(소형화물)</t>
  </si>
  <si>
    <t>91소7250</t>
  </si>
  <si>
    <t>기  능</t>
  </si>
  <si>
    <t>구입금액</t>
  </si>
  <si>
    <t>차량번호</t>
  </si>
  <si>
    <t>구입일자</t>
  </si>
  <si>
    <t>유류비(원)</t>
  </si>
  <si>
    <t>운행내역</t>
  </si>
  <si>
    <t>62모9292</t>
  </si>
  <si>
    <t>30누2261</t>
  </si>
  <si>
    <t>분  야</t>
  </si>
  <si>
    <t>80수6750</t>
  </si>
  <si>
    <t>모닝
(경차)</t>
  </si>
  <si>
    <t>안전관리팀
(업무용)</t>
    <phoneticPr fontId="22" type="noConversion"/>
  </si>
  <si>
    <t>2024. 12월</t>
    <phoneticPr fontId="22" type="noConversion"/>
  </si>
  <si>
    <t>52가7002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</si>
</sst>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);[Red]\(#,##0\)"/>
    <numFmt numFmtId="177" formatCode="###,###,###,###&quot;원&quot;"/>
    <numFmt numFmtId="178" formatCode="_-* #,##0.000_-;\-* #,##0.000_-;_-* &quot;-&quot;???_-;_-@_-"/>
  </numFmts>
  <fonts count="23">
    <font>
      <sz val="11"/>
      <name val="맑은 고딕"/>
      <charset val="1"/>
    </font>
    <font>
      <sz val="11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8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28" borderId="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31" borderId="9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15" applyNumberFormat="0" applyAlignment="0" applyProtection="0">
      <alignment vertical="center"/>
    </xf>
  </cellStyleXfs>
  <cellXfs count="36">
    <xf numFmtId="0" fontId="0" fillId="0" borderId="0" xfId="0" applyNumberFormat="1" applyFont="1">
      <alignment vertical="center"/>
    </xf>
    <xf numFmtId="0" fontId="5" fillId="28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0" xfId="0" applyNumberFormat="1" applyFont="1">
      <alignment vertical="center"/>
    </xf>
    <xf numFmtId="41" fontId="6" fillId="0" borderId="1" xfId="32" applyNumberFormat="1" applyFont="1" applyBorder="1" applyAlignment="1">
      <alignment horizontal="center" vertical="center"/>
    </xf>
    <xf numFmtId="0" fontId="7" fillId="28" borderId="1" xfId="0" applyNumberFormat="1" applyFont="1" applyFill="1" applyBorder="1" applyAlignment="1">
      <alignment horizontal="center" vertical="center"/>
    </xf>
    <xf numFmtId="41" fontId="6" fillId="0" borderId="1" xfId="32" applyNumberFormat="1" applyFont="1" applyBorder="1" applyAlignment="1">
      <alignment horizontal="right" vertical="center"/>
    </xf>
    <xf numFmtId="41" fontId="6" fillId="0" borderId="1" xfId="32" applyNumberFormat="1" applyFont="1" applyBorder="1" applyAlignment="1">
      <alignment horizontal="center" vertical="center"/>
    </xf>
    <xf numFmtId="41" fontId="6" fillId="0" borderId="1" xfId="32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7" fillId="28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21"/>
  <sheetViews>
    <sheetView tabSelected="1" zoomScaleNormal="100" workbookViewId="0">
      <selection activeCell="N14" sqref="N14"/>
    </sheetView>
  </sheetViews>
  <sheetFormatPr defaultRowHeight="16.5"/>
  <cols>
    <col min="1" max="6" width="10.625" customWidth="1"/>
    <col min="7" max="17" width="9" customWidth="1"/>
    <col min="18" max="19" width="9" bestFit="1" customWidth="1"/>
  </cols>
  <sheetData>
    <row r="1" spans="1:19" ht="20.100000000000001" customHeight="1">
      <c r="A1" s="15" t="s">
        <v>23</v>
      </c>
      <c r="B1" s="15"/>
      <c r="C1" s="15"/>
      <c r="D1" s="1" t="s">
        <v>37</v>
      </c>
      <c r="E1" s="18" t="s">
        <v>3</v>
      </c>
      <c r="F1" s="18"/>
    </row>
    <row r="2" spans="1:19" ht="20.100000000000001" customHeight="1">
      <c r="A2" s="16"/>
      <c r="B2" s="16"/>
      <c r="C2" s="16"/>
      <c r="D2" s="1" t="s">
        <v>29</v>
      </c>
      <c r="E2" s="18" t="s">
        <v>16</v>
      </c>
      <c r="F2" s="18"/>
    </row>
    <row r="3" spans="1:19" ht="20.100000000000001" customHeight="1">
      <c r="A3" s="17"/>
      <c r="B3" s="17"/>
      <c r="C3" s="17"/>
      <c r="D3" s="1" t="s">
        <v>17</v>
      </c>
      <c r="E3" s="19" t="s">
        <v>41</v>
      </c>
      <c r="F3" s="20"/>
    </row>
    <row r="4" spans="1:19" ht="20.100000000000001" customHeight="1">
      <c r="A4" s="2"/>
      <c r="B4" s="2"/>
      <c r="C4" s="2"/>
      <c r="D4" s="3"/>
      <c r="E4" s="3"/>
      <c r="F4" s="3"/>
    </row>
    <row r="5" spans="1:19" ht="30" customHeight="1">
      <c r="A5" s="21" t="s">
        <v>31</v>
      </c>
      <c r="B5" s="21" t="s">
        <v>12</v>
      </c>
      <c r="C5" s="21" t="s">
        <v>4</v>
      </c>
      <c r="D5" s="21" t="s">
        <v>32</v>
      </c>
      <c r="E5" s="21" t="s">
        <v>30</v>
      </c>
      <c r="F5" s="21" t="s">
        <v>34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30" customHeight="1">
      <c r="A6" s="21"/>
      <c r="B6" s="21"/>
      <c r="C6" s="21"/>
      <c r="D6" s="21"/>
      <c r="E6" s="21"/>
      <c r="F6" s="9" t="s">
        <v>6</v>
      </c>
      <c r="G6" s="9" t="s">
        <v>7</v>
      </c>
      <c r="H6" s="9" t="s">
        <v>9</v>
      </c>
      <c r="I6" s="9" t="s">
        <v>18</v>
      </c>
      <c r="J6" s="9" t="s">
        <v>5</v>
      </c>
      <c r="K6" s="9" t="s">
        <v>19</v>
      </c>
      <c r="L6" s="9" t="s">
        <v>8</v>
      </c>
      <c r="M6" s="9" t="s">
        <v>10</v>
      </c>
      <c r="N6" s="9" t="s">
        <v>15</v>
      </c>
      <c r="O6" s="9" t="s">
        <v>21</v>
      </c>
      <c r="P6" s="9" t="s">
        <v>20</v>
      </c>
      <c r="Q6" s="9" t="s">
        <v>22</v>
      </c>
      <c r="R6" s="9" t="s">
        <v>14</v>
      </c>
      <c r="S6" s="9" t="s">
        <v>13</v>
      </c>
    </row>
    <row r="7" spans="1:19" s="7" customFormat="1" ht="22.5" customHeight="1">
      <c r="A7" s="22" t="s">
        <v>28</v>
      </c>
      <c r="B7" s="25" t="s">
        <v>40</v>
      </c>
      <c r="C7" s="28" t="s">
        <v>24</v>
      </c>
      <c r="D7" s="28" t="s">
        <v>25</v>
      </c>
      <c r="E7" s="33" t="s">
        <v>11</v>
      </c>
      <c r="F7" s="4" t="s">
        <v>1</v>
      </c>
      <c r="G7" s="10">
        <f>SUM(H7:S7)</f>
        <v>2023</v>
      </c>
      <c r="H7" s="12">
        <f>9930-9694</f>
        <v>236</v>
      </c>
      <c r="I7" s="12">
        <f>10156-9930</f>
        <v>226</v>
      </c>
      <c r="J7" s="12">
        <v>0</v>
      </c>
      <c r="K7" s="12">
        <v>0</v>
      </c>
      <c r="L7" s="12">
        <f>10508-10156</f>
        <v>352</v>
      </c>
      <c r="M7" s="12">
        <v>0</v>
      </c>
      <c r="N7" s="12">
        <f>10797-10508</f>
        <v>289</v>
      </c>
      <c r="O7" s="12">
        <v>0</v>
      </c>
      <c r="P7" s="12">
        <f>11089-10797</f>
        <v>292</v>
      </c>
      <c r="Q7" s="12">
        <v>0</v>
      </c>
      <c r="R7" s="12">
        <f>11569-11089</f>
        <v>480</v>
      </c>
      <c r="S7" s="12">
        <f>11717-11569</f>
        <v>148</v>
      </c>
    </row>
    <row r="8" spans="1:19" s="7" customFormat="1" ht="22.5" customHeight="1">
      <c r="A8" s="23"/>
      <c r="B8" s="26"/>
      <c r="C8" s="29"/>
      <c r="D8" s="31"/>
      <c r="E8" s="34"/>
      <c r="F8" s="5" t="s">
        <v>2</v>
      </c>
      <c r="G8" s="10">
        <f>SUM(H8:S8)</f>
        <v>355.44400000000002</v>
      </c>
      <c r="H8" s="13">
        <f>33.445</f>
        <v>33.445</v>
      </c>
      <c r="I8" s="13">
        <f>51.758</f>
        <v>51.758000000000003</v>
      </c>
      <c r="J8" s="13">
        <v>0</v>
      </c>
      <c r="K8" s="13">
        <v>0</v>
      </c>
      <c r="L8" s="13">
        <f>51.119</f>
        <v>51.119</v>
      </c>
      <c r="M8" s="13">
        <v>0</v>
      </c>
      <c r="N8" s="13">
        <f>50.063</f>
        <v>50.063000000000002</v>
      </c>
      <c r="O8" s="13">
        <v>0</v>
      </c>
      <c r="P8" s="13">
        <f>50</f>
        <v>50</v>
      </c>
      <c r="Q8" s="13">
        <v>0</v>
      </c>
      <c r="R8" s="13">
        <f>21.378+46.611</f>
        <v>67.989000000000004</v>
      </c>
      <c r="S8" s="13">
        <f>51.07</f>
        <v>51.07</v>
      </c>
    </row>
    <row r="9" spans="1:19" s="7" customFormat="1" ht="22.5" customHeight="1">
      <c r="A9" s="24"/>
      <c r="B9" s="27"/>
      <c r="C9" s="30"/>
      <c r="D9" s="32"/>
      <c r="E9" s="35"/>
      <c r="F9" s="6" t="s">
        <v>33</v>
      </c>
      <c r="G9" s="10">
        <f t="shared" ref="G9:G12" si="0">SUM(H9:S9)</f>
        <v>514340</v>
      </c>
      <c r="H9" s="8">
        <f>48550</f>
        <v>48550</v>
      </c>
      <c r="I9" s="8">
        <f>78650</f>
        <v>78650</v>
      </c>
      <c r="J9" s="8">
        <v>0</v>
      </c>
      <c r="K9" s="8">
        <v>0</v>
      </c>
      <c r="L9" s="8">
        <f>77680</f>
        <v>77680</v>
      </c>
      <c r="M9" s="8">
        <v>0</v>
      </c>
      <c r="N9" s="8">
        <f>77690</f>
        <v>77690</v>
      </c>
      <c r="O9" s="8">
        <v>0</v>
      </c>
      <c r="P9" s="8">
        <f>66860</f>
        <v>66860</v>
      </c>
      <c r="Q9" s="8">
        <v>0</v>
      </c>
      <c r="R9" s="8">
        <f>28970+64090</f>
        <v>93060</v>
      </c>
      <c r="S9" s="8">
        <f>71850</f>
        <v>71850</v>
      </c>
    </row>
    <row r="10" spans="1:19" s="7" customFormat="1" ht="22.5" customHeight="1">
      <c r="A10" s="22" t="s">
        <v>38</v>
      </c>
      <c r="B10" s="25" t="s">
        <v>26</v>
      </c>
      <c r="C10" s="28" t="s">
        <v>27</v>
      </c>
      <c r="D10" s="28" t="s">
        <v>0</v>
      </c>
      <c r="E10" s="33">
        <v>14870000</v>
      </c>
      <c r="F10" s="4" t="s">
        <v>1</v>
      </c>
      <c r="G10" s="11">
        <f t="shared" si="0"/>
        <v>3286</v>
      </c>
      <c r="H10" s="11">
        <f>80250-79750</f>
        <v>500</v>
      </c>
      <c r="I10" s="11">
        <v>0</v>
      </c>
      <c r="J10" s="11">
        <f>80541-80250</f>
        <v>291</v>
      </c>
      <c r="K10" s="11">
        <f>81160-80541</f>
        <v>619</v>
      </c>
      <c r="L10" s="11">
        <v>0</v>
      </c>
      <c r="M10" s="11">
        <f>81696-81160</f>
        <v>536</v>
      </c>
      <c r="N10" s="11">
        <f>81871-81696</f>
        <v>175</v>
      </c>
      <c r="O10" s="11">
        <v>0</v>
      </c>
      <c r="P10" s="11">
        <f>82187-81871</f>
        <v>316</v>
      </c>
      <c r="Q10" s="11">
        <f>82450-82187</f>
        <v>263</v>
      </c>
      <c r="R10" s="11">
        <f>82801-82450</f>
        <v>351</v>
      </c>
      <c r="S10" s="11">
        <f>83036-82801</f>
        <v>235</v>
      </c>
    </row>
    <row r="11" spans="1:19" s="7" customFormat="1" ht="22.5" customHeight="1">
      <c r="A11" s="23"/>
      <c r="B11" s="26"/>
      <c r="C11" s="29"/>
      <c r="D11" s="31"/>
      <c r="E11" s="34"/>
      <c r="F11" s="5" t="s">
        <v>2</v>
      </c>
      <c r="G11" s="8">
        <f t="shared" si="0"/>
        <v>598.08500000000004</v>
      </c>
      <c r="H11" s="13">
        <f>54.85+52.843</f>
        <v>107.69300000000001</v>
      </c>
      <c r="I11" s="13">
        <v>0</v>
      </c>
      <c r="J11" s="13">
        <f>49.53</f>
        <v>49.53</v>
      </c>
      <c r="K11" s="13">
        <f>54.604+47.905</f>
        <v>102.509</v>
      </c>
      <c r="L11" s="13">
        <v>0</v>
      </c>
      <c r="M11" s="13">
        <f>42.812+32.787</f>
        <v>75.59899999999999</v>
      </c>
      <c r="N11" s="13">
        <f>57.597</f>
        <v>57.597000000000001</v>
      </c>
      <c r="O11" s="13">
        <v>0</v>
      </c>
      <c r="P11" s="13">
        <f>53.036</f>
        <v>53.036000000000001</v>
      </c>
      <c r="Q11" s="13">
        <f>50.074</f>
        <v>50.073999999999998</v>
      </c>
      <c r="R11" s="13">
        <f>56.498</f>
        <v>56.497999999999998</v>
      </c>
      <c r="S11" s="13">
        <f>45.549</f>
        <v>45.548999999999999</v>
      </c>
    </row>
    <row r="12" spans="1:19" s="7" customFormat="1" ht="22.5" customHeight="1">
      <c r="A12" s="24"/>
      <c r="B12" s="27"/>
      <c r="C12" s="30"/>
      <c r="D12" s="32"/>
      <c r="E12" s="35"/>
      <c r="F12" s="6" t="s">
        <v>33</v>
      </c>
      <c r="G12" s="8">
        <f t="shared" si="0"/>
        <v>872520</v>
      </c>
      <c r="H12" s="11">
        <f>79620+76720</f>
        <v>156340</v>
      </c>
      <c r="I12" s="11">
        <v>0</v>
      </c>
      <c r="J12" s="11">
        <f>76700</f>
        <v>76700</v>
      </c>
      <c r="K12" s="11">
        <f>83510+69920</f>
        <v>153430</v>
      </c>
      <c r="L12" s="11">
        <v>0</v>
      </c>
      <c r="M12" s="11">
        <f>65060+48540</f>
        <v>113600</v>
      </c>
      <c r="N12" s="11">
        <f>84060</f>
        <v>84060</v>
      </c>
      <c r="O12" s="11">
        <v>0</v>
      </c>
      <c r="P12" s="11">
        <f>80600</f>
        <v>80600</v>
      </c>
      <c r="Q12" s="11">
        <f>66030</f>
        <v>66030</v>
      </c>
      <c r="R12" s="11">
        <f>77680</f>
        <v>77680</v>
      </c>
      <c r="S12" s="11">
        <f>64080</f>
        <v>64080</v>
      </c>
    </row>
    <row r="13" spans="1:19" s="7" customFormat="1" ht="22.5" customHeight="1">
      <c r="A13" s="22" t="s">
        <v>35</v>
      </c>
      <c r="B13" s="25" t="s">
        <v>26</v>
      </c>
      <c r="C13" s="28" t="s">
        <v>39</v>
      </c>
      <c r="D13" s="28" t="s">
        <v>11</v>
      </c>
      <c r="E13" s="33" t="s">
        <v>11</v>
      </c>
      <c r="F13" s="4" t="s">
        <v>1</v>
      </c>
      <c r="G13" s="8">
        <f t="shared" ref="G13:G17" si="1">SUM(H13:S13)</f>
        <v>26901</v>
      </c>
      <c r="H13" s="14">
        <f>130222-127300</f>
        <v>2922</v>
      </c>
      <c r="I13" s="14">
        <f>132054-130222</f>
        <v>1832</v>
      </c>
      <c r="J13" s="14">
        <f>134521-132054</f>
        <v>2467</v>
      </c>
      <c r="K13" s="14">
        <f>136602-134521</f>
        <v>2081</v>
      </c>
      <c r="L13" s="14">
        <f>138753-136602</f>
        <v>2151</v>
      </c>
      <c r="M13" s="14">
        <f>140917-138753</f>
        <v>2164</v>
      </c>
      <c r="N13" s="14">
        <f>142984-140917</f>
        <v>2067</v>
      </c>
      <c r="O13" s="14">
        <f>146613-142984</f>
        <v>3629</v>
      </c>
      <c r="P13" s="14">
        <f>147709-146613</f>
        <v>1096</v>
      </c>
      <c r="Q13" s="14">
        <f>150035-147709</f>
        <v>2326</v>
      </c>
      <c r="R13" s="14">
        <f>152396-150035</f>
        <v>2361</v>
      </c>
      <c r="S13" s="14">
        <f>154201-152396</f>
        <v>1805</v>
      </c>
    </row>
    <row r="14" spans="1:19" s="7" customFormat="1" ht="22.5" customHeight="1">
      <c r="A14" s="23"/>
      <c r="B14" s="26"/>
      <c r="C14" s="29"/>
      <c r="D14" s="31"/>
      <c r="E14" s="34"/>
      <c r="F14" s="5" t="s">
        <v>2</v>
      </c>
      <c r="G14" s="8">
        <f t="shared" si="1"/>
        <v>3636.6760000000004</v>
      </c>
      <c r="H14" s="13">
        <f>207.368+153.702</f>
        <v>361.07</v>
      </c>
      <c r="I14" s="13">
        <f>97.927+129.751</f>
        <v>227.678</v>
      </c>
      <c r="J14" s="13">
        <f>131.016+170.588</f>
        <v>301.60399999999998</v>
      </c>
      <c r="K14" s="13">
        <f>124.731+123.814</f>
        <v>248.54499999999999</v>
      </c>
      <c r="L14" s="13">
        <f>122.885+153.151</f>
        <v>276.036</v>
      </c>
      <c r="M14" s="13">
        <f>128.377+141.94</f>
        <v>270.31700000000001</v>
      </c>
      <c r="N14" s="13">
        <f>162.597+193.356</f>
        <v>355.95299999999997</v>
      </c>
      <c r="O14" s="13">
        <f>193.758+200.561</f>
        <v>394.31900000000002</v>
      </c>
      <c r="P14" s="13">
        <f>192.415+160.236</f>
        <v>352.65099999999995</v>
      </c>
      <c r="Q14" s="13">
        <f>153.713+158.018</f>
        <v>311.73099999999999</v>
      </c>
      <c r="R14" s="13">
        <f>163.785+141.844</f>
        <v>305.62900000000002</v>
      </c>
      <c r="S14" s="13">
        <f>144.952+86.191</f>
        <v>231.143</v>
      </c>
    </row>
    <row r="15" spans="1:19" s="7" customFormat="1" ht="22.5" customHeight="1">
      <c r="A15" s="24"/>
      <c r="B15" s="27"/>
      <c r="C15" s="30"/>
      <c r="D15" s="32"/>
      <c r="E15" s="35"/>
      <c r="F15" s="6" t="s">
        <v>33</v>
      </c>
      <c r="G15" s="8">
        <f>SUM(H15:S15)</f>
        <v>5601180</v>
      </c>
      <c r="H15" s="11">
        <f>302080+224260</f>
        <v>526340</v>
      </c>
      <c r="I15" s="11">
        <f>147580+200970</f>
        <v>348550</v>
      </c>
      <c r="J15" s="11">
        <f>201950+262140</f>
        <v>464090</v>
      </c>
      <c r="K15" s="11">
        <f>197080+200980</f>
        <v>398060</v>
      </c>
      <c r="L15" s="11">
        <f>198090+242720</f>
        <v>440810</v>
      </c>
      <c r="M15" s="11">
        <f>198050+219440</f>
        <v>417490</v>
      </c>
      <c r="N15" s="11">
        <f>261160+312640</f>
        <v>573800</v>
      </c>
      <c r="O15" s="11">
        <f>309740+313580</f>
        <v>623320</v>
      </c>
      <c r="P15" s="11">
        <f>284470+239820</f>
        <v>524290</v>
      </c>
      <c r="Q15" s="11">
        <f>228160+235910</f>
        <v>464070</v>
      </c>
      <c r="R15" s="11">
        <f>247560+215530</f>
        <v>463090</v>
      </c>
      <c r="S15" s="11">
        <f>223300+133970</f>
        <v>357270</v>
      </c>
    </row>
    <row r="16" spans="1:19" s="7" customFormat="1" ht="22.5" customHeight="1">
      <c r="A16" s="22" t="s">
        <v>36</v>
      </c>
      <c r="B16" s="25" t="s">
        <v>26</v>
      </c>
      <c r="C16" s="28" t="s">
        <v>39</v>
      </c>
      <c r="D16" s="28" t="s">
        <v>11</v>
      </c>
      <c r="E16" s="33" t="s">
        <v>11</v>
      </c>
      <c r="F16" s="4" t="s">
        <v>1</v>
      </c>
      <c r="G16" s="8">
        <f t="shared" si="1"/>
        <v>4896</v>
      </c>
      <c r="H16" s="12">
        <f>201398-201153</f>
        <v>245</v>
      </c>
      <c r="I16" s="12">
        <f>202012-201398</f>
        <v>614</v>
      </c>
      <c r="J16" s="12">
        <f>202224-202012</f>
        <v>212</v>
      </c>
      <c r="K16" s="12">
        <f>202721-202224</f>
        <v>497</v>
      </c>
      <c r="L16" s="12">
        <f>203477-202721</f>
        <v>756</v>
      </c>
      <c r="M16" s="12">
        <f>204079-203477</f>
        <v>602</v>
      </c>
      <c r="N16" s="12">
        <f>204590-204079</f>
        <v>511</v>
      </c>
      <c r="O16" s="12">
        <f>204830-204590</f>
        <v>240</v>
      </c>
      <c r="P16" s="12">
        <f>205130-204830</f>
        <v>300</v>
      </c>
      <c r="Q16" s="12">
        <f>205595-205130</f>
        <v>465</v>
      </c>
      <c r="R16" s="12">
        <f>205795-205595</f>
        <v>200</v>
      </c>
      <c r="S16" s="12">
        <f>206049-205795</f>
        <v>254</v>
      </c>
    </row>
    <row r="17" spans="1:19" s="7" customFormat="1" ht="22.5" customHeight="1">
      <c r="A17" s="23"/>
      <c r="B17" s="26"/>
      <c r="C17" s="29"/>
      <c r="D17" s="31"/>
      <c r="E17" s="34"/>
      <c r="F17" s="5" t="s">
        <v>2</v>
      </c>
      <c r="G17" s="8">
        <f t="shared" si="1"/>
        <v>589.22500000000002</v>
      </c>
      <c r="H17" s="13">
        <f>18.809</f>
        <v>18.809000000000001</v>
      </c>
      <c r="I17" s="13">
        <f>20.271+25.935</f>
        <v>46.206000000000003</v>
      </c>
      <c r="J17" s="13">
        <f>26.707</f>
        <v>26.707000000000001</v>
      </c>
      <c r="K17" s="13">
        <f>24+25.165</f>
        <v>49.164999999999999</v>
      </c>
      <c r="L17" s="13">
        <f>44.598+49.714</f>
        <v>94.311999999999998</v>
      </c>
      <c r="M17" s="13">
        <f>25.917+52.307</f>
        <v>78.224000000000004</v>
      </c>
      <c r="N17" s="13">
        <f>26.502+72.902</f>
        <v>99.403999999999996</v>
      </c>
      <c r="O17" s="13">
        <f>25.788</f>
        <v>25.788</v>
      </c>
      <c r="P17" s="13">
        <f>25.174+25.324</f>
        <v>50.498000000000005</v>
      </c>
      <c r="Q17" s="13">
        <f>24.295+25.032</f>
        <v>49.326999999999998</v>
      </c>
      <c r="R17" s="13">
        <f>26.975</f>
        <v>26.975000000000001</v>
      </c>
      <c r="S17" s="13">
        <f>23.81</f>
        <v>23.81</v>
      </c>
    </row>
    <row r="18" spans="1:19" s="7" customFormat="1" ht="22.5" customHeight="1">
      <c r="A18" s="24"/>
      <c r="B18" s="27"/>
      <c r="C18" s="30"/>
      <c r="D18" s="32"/>
      <c r="E18" s="35"/>
      <c r="F18" s="6" t="s">
        <v>33</v>
      </c>
      <c r="G18" s="8">
        <f>SUM(H18:S18)</f>
        <v>943660</v>
      </c>
      <c r="H18" s="11">
        <f>29120</f>
        <v>29120</v>
      </c>
      <c r="I18" s="11">
        <f>32040+41750</f>
        <v>73790</v>
      </c>
      <c r="J18" s="12">
        <f>43690</f>
        <v>43690</v>
      </c>
      <c r="K18" s="11">
        <f>39570+40780</f>
        <v>80350</v>
      </c>
      <c r="L18" s="11">
        <f>73790+78640</f>
        <v>152430</v>
      </c>
      <c r="M18" s="11">
        <f>39800+80590</f>
        <v>120390</v>
      </c>
      <c r="N18" s="11">
        <f>43700+122510</f>
        <v>166210</v>
      </c>
      <c r="O18" s="11">
        <f>43690</f>
        <v>43690</v>
      </c>
      <c r="P18" s="11">
        <f>38840+41750</f>
        <v>80590</v>
      </c>
      <c r="Q18" s="11">
        <f>35920+38840</f>
        <v>74760</v>
      </c>
      <c r="R18" s="11">
        <f>40780</f>
        <v>40780</v>
      </c>
      <c r="S18" s="11">
        <f>37860</f>
        <v>37860</v>
      </c>
    </row>
    <row r="19" spans="1:19" s="7" customFormat="1" ht="22.5" customHeight="1">
      <c r="A19" s="22" t="s">
        <v>42</v>
      </c>
      <c r="B19" s="25" t="s">
        <v>26</v>
      </c>
      <c r="C19" s="28" t="s">
        <v>39</v>
      </c>
      <c r="D19" s="28" t="s">
        <v>11</v>
      </c>
      <c r="E19" s="33" t="s">
        <v>11</v>
      </c>
      <c r="F19" s="4" t="s">
        <v>1</v>
      </c>
      <c r="G19" s="11">
        <f t="shared" ref="G19:G20" si="2">SUM(H19:S19)</f>
        <v>4751</v>
      </c>
      <c r="H19" s="12">
        <f>23380-22741</f>
        <v>639</v>
      </c>
      <c r="I19" s="12">
        <f>23753-23380</f>
        <v>373</v>
      </c>
      <c r="J19" s="12">
        <f>24088-23753</f>
        <v>335</v>
      </c>
      <c r="K19" s="12">
        <f>24288-24088</f>
        <v>200</v>
      </c>
      <c r="L19" s="12">
        <f>24729-24288</f>
        <v>441</v>
      </c>
      <c r="M19" s="12">
        <f>25053-24729</f>
        <v>324</v>
      </c>
      <c r="N19" s="12">
        <f>25840-25053</f>
        <v>787</v>
      </c>
      <c r="O19" s="12">
        <f>26133-25840</f>
        <v>293</v>
      </c>
      <c r="P19" s="12">
        <f>26479-26133</f>
        <v>346</v>
      </c>
      <c r="Q19" s="12">
        <f>26870-26479</f>
        <v>391</v>
      </c>
      <c r="R19" s="12">
        <f>27289-26870</f>
        <v>419</v>
      </c>
      <c r="S19" s="12">
        <f>27492-27289</f>
        <v>203</v>
      </c>
    </row>
    <row r="20" spans="1:19" s="7" customFormat="1" ht="22.5" customHeight="1">
      <c r="A20" s="23"/>
      <c r="B20" s="26"/>
      <c r="C20" s="29"/>
      <c r="D20" s="31"/>
      <c r="E20" s="34"/>
      <c r="F20" s="5" t="s">
        <v>2</v>
      </c>
      <c r="G20" s="11">
        <f t="shared" si="2"/>
        <v>621.52700000000004</v>
      </c>
      <c r="H20" s="13">
        <f>29.921+20.081</f>
        <v>50.001999999999995</v>
      </c>
      <c r="I20" s="13">
        <f>27.778+28.487</f>
        <v>56.265000000000001</v>
      </c>
      <c r="J20" s="13">
        <f>28.608</f>
        <v>28.608000000000001</v>
      </c>
      <c r="K20" s="13">
        <f>30.544</f>
        <v>30.544</v>
      </c>
      <c r="L20" s="13">
        <f>28.161+28.066</f>
        <v>56.227000000000004</v>
      </c>
      <c r="M20" s="13">
        <f>28.982+28.597</f>
        <v>57.579000000000001</v>
      </c>
      <c r="N20" s="13">
        <f>28.607+60.152</f>
        <v>88.759</v>
      </c>
      <c r="O20" s="13">
        <f>28.16+26.138</f>
        <v>54.298000000000002</v>
      </c>
      <c r="P20" s="13">
        <f>29.305+28.455</f>
        <v>57.76</v>
      </c>
      <c r="Q20" s="13">
        <f>28.332+29.029</f>
        <v>57.361000000000004</v>
      </c>
      <c r="R20" s="13">
        <f>27.994+27.352</f>
        <v>55.346000000000004</v>
      </c>
      <c r="S20" s="13">
        <f>28.778</f>
        <v>28.777999999999999</v>
      </c>
    </row>
    <row r="21" spans="1:19" s="7" customFormat="1" ht="22.5" customHeight="1">
      <c r="A21" s="24"/>
      <c r="B21" s="27"/>
      <c r="C21" s="30"/>
      <c r="D21" s="32"/>
      <c r="E21" s="35"/>
      <c r="F21" s="6" t="s">
        <v>33</v>
      </c>
      <c r="G21" s="11">
        <f>SUM(H21:S21)</f>
        <v>978180</v>
      </c>
      <c r="H21" s="11">
        <f>43700+29130</f>
        <v>72830</v>
      </c>
      <c r="I21" s="11">
        <f>41740+46600</f>
        <v>88340</v>
      </c>
      <c r="J21" s="12">
        <f>43690</f>
        <v>43690</v>
      </c>
      <c r="K21" s="11">
        <f>48550</f>
        <v>48550</v>
      </c>
      <c r="L21" s="11">
        <f>45640+44660</f>
        <v>90300</v>
      </c>
      <c r="M21" s="11">
        <f>45280+44390</f>
        <v>89670</v>
      </c>
      <c r="N21" s="11">
        <f>45630+97090</f>
        <v>142720</v>
      </c>
      <c r="O21" s="11">
        <f>46420+44280</f>
        <v>90700</v>
      </c>
      <c r="P21" s="11">
        <f>46610+46910</f>
        <v>93520</v>
      </c>
      <c r="Q21" s="11">
        <f>41900+45030</f>
        <v>86930</v>
      </c>
      <c r="R21" s="11">
        <f>42590+43500</f>
        <v>86090</v>
      </c>
      <c r="S21" s="11">
        <f>44840</f>
        <v>44840</v>
      </c>
    </row>
  </sheetData>
  <mergeCells count="35">
    <mergeCell ref="A19:A21"/>
    <mergeCell ref="B19:B21"/>
    <mergeCell ref="C19:C21"/>
    <mergeCell ref="D19:D21"/>
    <mergeCell ref="E19:E21"/>
    <mergeCell ref="A16:A18"/>
    <mergeCell ref="B16:B18"/>
    <mergeCell ref="C16:C18"/>
    <mergeCell ref="D16:D18"/>
    <mergeCell ref="E16:E18"/>
    <mergeCell ref="A7:A9"/>
    <mergeCell ref="B7:B9"/>
    <mergeCell ref="C7:C9"/>
    <mergeCell ref="D7:D9"/>
    <mergeCell ref="E7:E9"/>
    <mergeCell ref="A10:A12"/>
    <mergeCell ref="B10:B12"/>
    <mergeCell ref="C10:C12"/>
    <mergeCell ref="D10:D12"/>
    <mergeCell ref="E10:E12"/>
    <mergeCell ref="A13:A15"/>
    <mergeCell ref="B13:B15"/>
    <mergeCell ref="C13:C15"/>
    <mergeCell ref="D13:D15"/>
    <mergeCell ref="E13:E15"/>
    <mergeCell ref="A1:C3"/>
    <mergeCell ref="E1:F1"/>
    <mergeCell ref="E2:F2"/>
    <mergeCell ref="E3:F3"/>
    <mergeCell ref="A5:A6"/>
    <mergeCell ref="F5:S5"/>
    <mergeCell ref="B5:B6"/>
    <mergeCell ref="C5:C6"/>
    <mergeCell ref="D5:D6"/>
    <mergeCell ref="E5:E6"/>
  </mergeCells>
  <phoneticPr fontId="22" type="noConversion"/>
  <pageMargins left="0.7086111307144165" right="0.7086111307144165" top="0.74791663885116577" bottom="0.74791663885116577" header="0.31486111879348755" footer="0.31486111879348755"/>
  <pageSetup paperSize="9" scale="6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2023년</vt:lpstr>
      <vt:lpstr>'2023년'!Print_Area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revision>1</cp:revision>
  <cp:lastPrinted>2019-03-26T08:32:21Z</cp:lastPrinted>
  <dcterms:created xsi:type="dcterms:W3CDTF">2019-03-26T07:56:15Z</dcterms:created>
  <dcterms:modified xsi:type="dcterms:W3CDTF">2025-05-14T04:47:44Z</dcterms:modified>
</cp:coreProperties>
</file>